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75" windowWidth="17715" windowHeight="9240" activeTab="0"/>
  </bookViews>
  <sheets>
    <sheet name="Calculs" sheetId="1" r:id="rId1"/>
    <sheet name="Datas" sheetId="2" r:id="rId2"/>
  </sheets>
  <definedNames>
    <definedName name="diametre">'Calculs'!$B$6</definedName>
    <definedName name="focale">'Calculs'!$B$5</definedName>
    <definedName name="focale_F0">'Calculs'!$D$17</definedName>
    <definedName name="focale_F0_max">'Calculs'!$D$17</definedName>
    <definedName name="focale_FO_min">'Calculs'!$B$17</definedName>
    <definedName name="H">'Calculs'!$B$11</definedName>
    <definedName name="lambda">'Calculs'!$B$14</definedName>
    <definedName name="onde">'Calculs'!#REF!</definedName>
    <definedName name="pixel">'Calculs'!$B$10</definedName>
    <definedName name="TSUN">'Calculs'!$H$5</definedName>
    <definedName name="Tsun2">'Calculs'!$H$6</definedName>
    <definedName name="V">'Calculs'!$D$11</definedName>
  </definedNames>
  <calcPr fullCalcOnLoad="1"/>
</workbook>
</file>

<file path=xl/comments1.xml><?xml version="1.0" encoding="utf-8"?>
<comments xmlns="http://schemas.openxmlformats.org/spreadsheetml/2006/main">
  <authors>
    <author>p745314</author>
  </authors>
  <commentList>
    <comment ref="G19" authorId="0">
      <text>
        <r>
          <rPr>
            <sz val="9"/>
            <rFont val="Tahoma"/>
            <family val="2"/>
          </rPr>
          <t>Cette valeur vous permettra de connaître le diamètre du cercle à utiliser pour donner un effet coronographe.</t>
        </r>
      </text>
    </comment>
    <comment ref="A9" authorId="0">
      <text>
        <r>
          <rPr>
            <sz val="9"/>
            <rFont val="Tahoma"/>
            <family val="2"/>
          </rPr>
          <t>Vous pouvez ajouter sur la feuille Datas les caractéristiques de votre caméra si celle-ci ne se trouve pas dans la liste.</t>
        </r>
      </text>
    </comment>
    <comment ref="A14" authorId="0">
      <text>
        <r>
          <rPr>
            <sz val="9"/>
            <rFont val="Tahoma"/>
            <family val="0"/>
          </rPr>
          <t xml:space="preserve">Vous pouvez ajouter sur la feuille Datas une nouvelle longueur d'onde si celle-ci ne se trouve pas dans la liste.
</t>
        </r>
      </text>
    </comment>
    <comment ref="A17" authorId="0">
      <text>
        <r>
          <rPr>
            <sz val="9"/>
            <rFont val="Tahoma"/>
            <family val="0"/>
          </rPr>
          <t>Fo mini= D(mm) * 2 * P(pixel en µm) / λ(µm)
Fo maxi = D(mm) * 3 * P(pixel en µm) / λ(µm)</t>
        </r>
      </text>
    </comment>
    <comment ref="A18" authorId="0">
      <text>
        <r>
          <rPr>
            <sz val="9"/>
            <rFont val="Tahoma"/>
            <family val="2"/>
          </rPr>
          <t>Eo= 206 * P(pixel en µm) / Fo(mm)</t>
        </r>
      </text>
    </comment>
    <comment ref="G20" authorId="0">
      <text>
        <r>
          <rPr>
            <sz val="9"/>
            <rFont val="Tahoma"/>
            <family val="0"/>
          </rPr>
          <t>comparez cette valeur avec l'échantillonnage optimal donné à gauche.</t>
        </r>
      </text>
    </comment>
    <comment ref="G25" authorId="0">
      <text>
        <r>
          <rPr>
            <sz val="9"/>
            <rFont val="Tahoma"/>
            <family val="2"/>
          </rPr>
          <t>Cette valeur vous donnera une idée du grandissement réel donné par votre Barlow ou système grandissant + le tirage.</t>
        </r>
      </text>
    </comment>
    <comment ref="K8" authorId="0">
      <text>
        <r>
          <rPr>
            <sz val="9"/>
            <rFont val="Tahoma"/>
            <family val="0"/>
          </rPr>
          <t xml:space="preserve">Utile pour dessiner la Terre sur votre image pour donner une idée de l'échelle.
</t>
        </r>
      </text>
    </comment>
    <comment ref="K11" authorId="0">
      <text>
        <r>
          <rPr>
            <sz val="9"/>
            <rFont val="Tahoma"/>
            <family val="0"/>
          </rPr>
          <t xml:space="preserve">Intéressant dans le cas de très longues protubérances, donne une idée du gigantisme du phénomène observé !
</t>
        </r>
      </text>
    </comment>
    <comment ref="B5" authorId="0">
      <text>
        <r>
          <rPr>
            <sz val="9"/>
            <rFont val="Tahoma"/>
            <family val="2"/>
          </rPr>
          <t>Entrez ici la valeur en mm de la focale de votre instrument.</t>
        </r>
      </text>
    </comment>
    <comment ref="B6" authorId="0">
      <text>
        <r>
          <rPr>
            <sz val="9"/>
            <rFont val="Tahoma"/>
            <family val="0"/>
          </rPr>
          <t xml:space="preserve">Entrez ici la valeur en mm du diamètre de votre instrument. Si vous utilisez un filtre à l'ouverture de diamètre réduit, prendre celui-ci comme valeur. 
</t>
        </r>
      </text>
    </comment>
    <comment ref="B23" authorId="0">
      <text>
        <r>
          <rPr>
            <sz val="9"/>
            <rFont val="Tahoma"/>
            <family val="0"/>
          </rPr>
          <t xml:space="preserve">Entrez ici la valeur de grandissement de votre Barlow ou système grandissant utilisé. Comparez avec la valeur réelle à droite mesurée sur votre image, prenant compte du tirage.
</t>
        </r>
      </text>
    </comment>
    <comment ref="H8" authorId="0">
      <text>
        <r>
          <rPr>
            <sz val="9"/>
            <rFont val="Tahoma"/>
            <family val="2"/>
          </rPr>
          <t>Entrez dans ces cases les valeurs X et Y des 3 points mesurés sur le limbe dans votre image.</t>
        </r>
      </text>
    </comment>
    <comment ref="G7" authorId="0">
      <text>
        <r>
          <rPr>
            <sz val="9"/>
            <rFont val="Tahoma"/>
            <family val="0"/>
          </rPr>
          <t xml:space="preserve">A l'aide d'un logiciel de retouche d'image, cliquez sur le limbe solaire, en 3 points éloignés les uns des autres, et notez les coordonnées X et Y de ces 3 points.
</t>
        </r>
      </text>
    </comment>
  </commentList>
</comments>
</file>

<file path=xl/sharedStrings.xml><?xml version="1.0" encoding="utf-8"?>
<sst xmlns="http://schemas.openxmlformats.org/spreadsheetml/2006/main" count="145" uniqueCount="125">
  <si>
    <t>Diamètre Soleil (" d'arc)</t>
  </si>
  <si>
    <t>Système grandissant optimal</t>
  </si>
  <si>
    <t>Kilomètres / pixel mesuré</t>
  </si>
  <si>
    <t>Focale (mm) F</t>
  </si>
  <si>
    <t>Diamètre (mm) D</t>
  </si>
  <si>
    <t>Rapport F/D</t>
  </si>
  <si>
    <t>Focale résultante (mm)</t>
  </si>
  <si>
    <t>Coordonnées X point 1</t>
  </si>
  <si>
    <t>Coordonnées Y point 1</t>
  </si>
  <si>
    <t>Coordonnées X point 2</t>
  </si>
  <si>
    <t>Coordonnées Y point 2</t>
  </si>
  <si>
    <t>Coordonnées X point 3</t>
  </si>
  <si>
    <t>Coordonnées Y point 3</t>
  </si>
  <si>
    <t>Focale résolvante optimale (mm)</t>
  </si>
  <si>
    <t>Rapport F/D optimal</t>
  </si>
  <si>
    <t>Rayon du Soleil en pixels</t>
  </si>
  <si>
    <t>Coordonnées X du centre</t>
  </si>
  <si>
    <t>Coordonnées Y du centre</t>
  </si>
  <si>
    <t>Valeurs exactes mesurées sur l'image :</t>
  </si>
  <si>
    <t>Diamètre Soleil mesuré (pixels)</t>
  </si>
  <si>
    <t>Focale mesurée (mm)</t>
  </si>
  <si>
    <t>Rapport F/D mesuré</t>
  </si>
  <si>
    <t>Grandissement mesuré</t>
  </si>
  <si>
    <t>Echantillonnage optimal (" d'arc/pixel)</t>
  </si>
  <si>
    <t>Echantillonnage mesuré (" d'arc/pixel)</t>
  </si>
  <si>
    <t>Petite règle à calculs pour vos images solaires</t>
  </si>
  <si>
    <t>Lambda</t>
  </si>
  <si>
    <t>Nom</t>
  </si>
  <si>
    <t>µm</t>
  </si>
  <si>
    <t>Caméra</t>
  </si>
  <si>
    <t>pixels</t>
  </si>
  <si>
    <t>H</t>
  </si>
  <si>
    <t>V</t>
  </si>
  <si>
    <t>Votre caméra :</t>
  </si>
  <si>
    <t>Longueur d'onde utilisée (µm) :</t>
  </si>
  <si>
    <t>Pixels caméra P (µm)</t>
  </si>
  <si>
    <t>Date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</si>
  <si>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</si>
  <si>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</si>
  <si>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</si>
  <si>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</si>
  <si>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</si>
  <si>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</si>
  <si>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</si>
  <si>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</si>
  <si>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</si>
  <si>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</si>
  <si>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</si>
  <si>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</si>
  <si>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Diamètre apparent du Soleil en :</t>
  </si>
  <si>
    <t>Rayon solaire mesuré sur votre image :</t>
  </si>
  <si>
    <t>Renseignez les cases jaunes et les menus déroulants</t>
  </si>
  <si>
    <t>Diamètre apparent soleil</t>
  </si>
  <si>
    <t>Autre longueur d'onde</t>
  </si>
  <si>
    <t>Echelles de comparaison :</t>
  </si>
  <si>
    <t>Votre instrument :</t>
  </si>
  <si>
    <t xml:space="preserve">Valeurs à obtenir pour une résolution optimale : </t>
  </si>
  <si>
    <t>Champ caméra H (" d'arc)</t>
  </si>
  <si>
    <t>Champ caméra V (" d'arc)</t>
  </si>
  <si>
    <t>Contact : Colmic (colmifr@gmail.com)</t>
  </si>
  <si>
    <t>mm</t>
  </si>
  <si>
    <t>"/pixel</t>
  </si>
  <si>
    <t>" d'arc</t>
  </si>
  <si>
    <t>km/pixel</t>
  </si>
  <si>
    <t>http://astrosurf.com/colmic</t>
  </si>
  <si>
    <t>Système grandissant utilisé (Barlow, etc..)</t>
  </si>
  <si>
    <t>x</t>
  </si>
  <si>
    <t>Aptina MT9M001 (PL1-M, PLC-M)</t>
  </si>
  <si>
    <t>Sony ICX098 (Toucam, Vestapro, DMK21)</t>
  </si>
  <si>
    <t>Sony ICX274 (Basler 1600, DMK51, Skynyxx 2.2)</t>
  </si>
  <si>
    <t>Sony ICX204 (DMK31)</t>
  </si>
  <si>
    <t>Sony ICX205 (Skynyxx 2.1, DMK41)</t>
  </si>
  <si>
    <t>Sony ICX424 (Skynyxx 2.0, Basler 640-80)</t>
  </si>
  <si>
    <t>Sony ICX618 (Basler 640-100, DMK21-618)</t>
  </si>
  <si>
    <t>Taille de la Lune à l'échelle</t>
  </si>
  <si>
    <t>Distance Terre/Lune à l'échelle</t>
  </si>
  <si>
    <t>Taille de la Terre à l'échelle</t>
  </si>
  <si>
    <t>Taille de Jupiter à l'échelle</t>
  </si>
  <si>
    <t>Autre caméra (Valeurs à remplir dans Datas)</t>
  </si>
  <si>
    <t>mm mini</t>
  </si>
  <si>
    <t>mini</t>
  </si>
  <si>
    <t>x mini</t>
  </si>
  <si>
    <t>mm maxi</t>
  </si>
  <si>
    <t>"/pixel maxi</t>
  </si>
  <si>
    <t>maxi</t>
  </si>
  <si>
    <t>x maxi</t>
  </si>
  <si>
    <t>"/pixel mini</t>
  </si>
  <si>
    <t>Champ caméra H x V (" d'arc)</t>
  </si>
  <si>
    <t>Echantillonnage (" d'arc/pixel)</t>
  </si>
  <si>
    <t>Capteur H x V (nb pixels)</t>
  </si>
  <si>
    <t>Testez vos combinaisons optiques, ROI, etc.. :</t>
  </si>
  <si>
    <t>Mosaïque nécessaire (nb de plans)</t>
  </si>
  <si>
    <t>Aptina MT09M034 (QHY5-L2, ASI120)</t>
  </si>
  <si>
    <t>Ruby EV76C (Flea3, IDS)</t>
  </si>
  <si>
    <t>Sony ICX285 (Lumenera LU165, Flea3)</t>
  </si>
  <si>
    <t>Sony ICX445 (Basler 1300, PLB-MX, Flea3)</t>
  </si>
  <si>
    <t>Sony ICX625 (Grasshopper3, Atik 450)</t>
  </si>
  <si>
    <t>Sony ICX687 (Grasshopper3)</t>
  </si>
  <si>
    <t>Sony ICX694 (Grasshopper3, Atik 460)</t>
  </si>
  <si>
    <t>Sony ICX814 (Grasshopper3)</t>
  </si>
  <si>
    <t>Sony IMX035 (Flea3, PLB-MX2)</t>
  </si>
  <si>
    <t>Sony IMX036 (Flea3)</t>
  </si>
  <si>
    <t>Sony ICX674 (LT365, Grasshopper3, Atik 428)</t>
  </si>
  <si>
    <t>CMOSIS CMV4000 (LT425, IDS, Grasshopper3)</t>
  </si>
  <si>
    <t>Aptina MT9V032 (QHY5V, PL2-M)</t>
  </si>
  <si>
    <t>Taille capteur (mm)</t>
  </si>
  <si>
    <t>Celestron Neximage 5</t>
  </si>
  <si>
    <t>Sony IMX224 (ASI 224)</t>
  </si>
  <si>
    <t>Sony IMX174 (Grasshopper3, ASI174, Basler 1920-155)</t>
  </si>
  <si>
    <t>Sony IMX178 (ASI178)</t>
  </si>
  <si>
    <t>ASI 290MM</t>
  </si>
  <si>
    <t>ASI 1600MM</t>
  </si>
  <si>
    <t>ASI 183MM</t>
  </si>
  <si>
    <t>Sony A7S</t>
  </si>
  <si>
    <t>Bleu</t>
  </si>
  <si>
    <t>Vert</t>
  </si>
  <si>
    <t>UV</t>
  </si>
  <si>
    <t>CaK</t>
  </si>
  <si>
    <t>Rouge</t>
  </si>
  <si>
    <t>Soufre SII</t>
  </si>
  <si>
    <t>Oxygène OIII</t>
  </si>
  <si>
    <t>Hydrogène Hbeta</t>
  </si>
  <si>
    <t>Hydrogène Halpha</t>
  </si>
  <si>
    <t>Continuum</t>
  </si>
  <si>
    <t>Lumière blanche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</si>
</sst>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6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44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169" fontId="6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trosurf.com/colmi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workbookViewId="0" topLeftCell="A2">
      <selection activeCell="B7" sqref="B7"/>
    </sheetView>
  </sheetViews>
  <sheetFormatPr defaultColWidth="11.421875" defaultRowHeight="12.75"/>
  <cols>
    <col min="1" max="1" width="46.8515625" style="4" customWidth="1"/>
    <col min="2" max="2" width="9.8515625" style="4" customWidth="1"/>
    <col min="3" max="3" width="9.421875" style="4" bestFit="1" customWidth="1"/>
    <col min="4" max="4" width="5.57421875" style="4" bestFit="1" customWidth="1"/>
    <col min="5" max="5" width="9.8515625" style="4" bestFit="1" customWidth="1"/>
    <col min="6" max="6" width="2.140625" style="4" customWidth="1"/>
    <col min="7" max="7" width="36.57421875" style="4" bestFit="1" customWidth="1"/>
    <col min="8" max="8" width="8.8515625" style="4" customWidth="1"/>
    <col min="9" max="9" width="3.7109375" style="4" customWidth="1"/>
    <col min="10" max="10" width="4.7109375" style="4" customWidth="1"/>
    <col min="11" max="11" width="26.7109375" style="4" bestFit="1" customWidth="1"/>
    <col min="12" max="12" width="6.421875" style="4" customWidth="1"/>
    <col min="13" max="16384" width="11.421875" style="4" customWidth="1"/>
  </cols>
  <sheetData>
    <row r="1" spans="1:8" ht="18">
      <c r="A1" s="31" t="s">
        <v>25</v>
      </c>
      <c r="B1" s="31"/>
      <c r="C1" s="31"/>
      <c r="D1" s="31"/>
      <c r="E1" s="28"/>
      <c r="F1" s="28"/>
      <c r="G1" s="13" t="s">
        <v>59</v>
      </c>
      <c r="H1" s="24" t="s">
        <v>64</v>
      </c>
    </row>
    <row r="2" spans="1:6" ht="21" customHeight="1">
      <c r="A2" s="21" t="s">
        <v>51</v>
      </c>
      <c r="C2" s="3"/>
      <c r="D2" s="3"/>
      <c r="E2" s="3"/>
      <c r="F2" s="5"/>
    </row>
    <row r="3" spans="1:7" ht="7.5" customHeight="1">
      <c r="A3" s="3"/>
      <c r="B3" s="3"/>
      <c r="C3" s="3"/>
      <c r="D3" s="3"/>
      <c r="E3" s="3"/>
      <c r="F3" s="3"/>
      <c r="G3" s="3"/>
    </row>
    <row r="4" spans="1:7" ht="12.75">
      <c r="A4" s="6" t="s">
        <v>55</v>
      </c>
      <c r="B4" s="6"/>
      <c r="G4" s="6" t="s">
        <v>49</v>
      </c>
    </row>
    <row r="5" spans="1:9" ht="12.75">
      <c r="A5" s="4" t="s">
        <v>3</v>
      </c>
      <c r="B5" s="1">
        <v>530</v>
      </c>
      <c r="C5" s="11" t="s">
        <v>60</v>
      </c>
      <c r="D5" s="11"/>
      <c r="E5" s="7"/>
      <c r="G5" s="4" t="s">
        <v>0</v>
      </c>
      <c r="H5" s="18">
        <f>INDEX(Datas!A50:B61,Datas!D49,2)</f>
        <v>1930</v>
      </c>
      <c r="I5" s="11" t="s">
        <v>62</v>
      </c>
    </row>
    <row r="6" spans="1:9" ht="12.75">
      <c r="A6" s="4" t="s">
        <v>4</v>
      </c>
      <c r="B6" s="1">
        <v>106</v>
      </c>
      <c r="C6" s="11" t="s">
        <v>60</v>
      </c>
      <c r="D6" s="11"/>
      <c r="E6" s="7"/>
      <c r="H6" s="8"/>
      <c r="I6" s="11"/>
    </row>
    <row r="7" spans="1:13" ht="12.75">
      <c r="A7" s="23" t="s">
        <v>5</v>
      </c>
      <c r="B7" s="26">
        <f>ROUND(focale/diametre,1)</f>
        <v>5</v>
      </c>
      <c r="E7" s="7"/>
      <c r="G7" s="6" t="s">
        <v>50</v>
      </c>
      <c r="K7" s="20" t="s">
        <v>54</v>
      </c>
      <c r="M7" s="11"/>
    </row>
    <row r="8" spans="7:13" ht="12.75">
      <c r="G8" s="4" t="s">
        <v>7</v>
      </c>
      <c r="H8" s="1">
        <v>1545</v>
      </c>
      <c r="I8" s="11"/>
      <c r="K8" s="23" t="s">
        <v>76</v>
      </c>
      <c r="L8" s="14">
        <f>12756/H26</f>
        <v>25.67540088309256</v>
      </c>
      <c r="M8" s="11" t="s">
        <v>30</v>
      </c>
    </row>
    <row r="9" spans="1:13" ht="12.75">
      <c r="A9" s="6" t="s">
        <v>33</v>
      </c>
      <c r="C9" s="9"/>
      <c r="D9" s="9"/>
      <c r="E9" s="10"/>
      <c r="G9" s="4" t="s">
        <v>8</v>
      </c>
      <c r="H9" s="1">
        <v>98</v>
      </c>
      <c r="I9" s="11"/>
      <c r="K9" s="23" t="s">
        <v>74</v>
      </c>
      <c r="L9" s="14">
        <f>3475/H26</f>
        <v>6.994513802818019</v>
      </c>
      <c r="M9" s="11" t="s">
        <v>30</v>
      </c>
    </row>
    <row r="10" spans="1:13" ht="12.75">
      <c r="A10" s="4" t="s">
        <v>35</v>
      </c>
      <c r="B10" s="2">
        <f>INDEX(Datas!A2:D30,Datas!$E$1,2)</f>
        <v>2.4</v>
      </c>
      <c r="C10" s="11" t="s">
        <v>28</v>
      </c>
      <c r="D10" s="11"/>
      <c r="E10" s="10"/>
      <c r="G10" s="4" t="s">
        <v>9</v>
      </c>
      <c r="H10" s="1">
        <v>157</v>
      </c>
      <c r="I10" s="11"/>
      <c r="K10" s="23" t="s">
        <v>77</v>
      </c>
      <c r="L10" s="14">
        <f>142984/H26</f>
        <v>287.7995860668005</v>
      </c>
      <c r="M10" s="11" t="s">
        <v>30</v>
      </c>
    </row>
    <row r="11" spans="1:13" ht="12.75">
      <c r="A11" s="23" t="s">
        <v>89</v>
      </c>
      <c r="B11" s="2">
        <f>INDEX(Datas!A2:D30,Datas!$E$1,3)</f>
        <v>5496</v>
      </c>
      <c r="C11" s="29" t="s">
        <v>66</v>
      </c>
      <c r="D11" s="2">
        <f>INDEX(Datas!A2:D30,Datas!$E$1,4)</f>
        <v>3672</v>
      </c>
      <c r="E11" s="11" t="s">
        <v>30</v>
      </c>
      <c r="G11" s="4" t="s">
        <v>10</v>
      </c>
      <c r="H11" s="1">
        <v>1491</v>
      </c>
      <c r="I11" s="11"/>
      <c r="K11" s="23" t="s">
        <v>75</v>
      </c>
      <c r="L11" s="14">
        <f>380000/H26</f>
        <v>764.8676964232654</v>
      </c>
      <c r="M11" s="11" t="s">
        <v>30</v>
      </c>
    </row>
    <row r="12" spans="1:9" ht="12.75">
      <c r="A12" s="23" t="s">
        <v>105</v>
      </c>
      <c r="B12" s="30">
        <f>ROUND((H*pixel/1000),2)</f>
        <v>13.19</v>
      </c>
      <c r="C12" s="30"/>
      <c r="D12" s="30">
        <f>ROUND((V*pixel/1000),2)</f>
        <v>8.81</v>
      </c>
      <c r="E12" s="11" t="s">
        <v>60</v>
      </c>
      <c r="G12" s="4" t="s">
        <v>11</v>
      </c>
      <c r="H12" s="1">
        <v>1170</v>
      </c>
      <c r="I12" s="11"/>
    </row>
    <row r="13" spans="7:9" ht="12.75">
      <c r="G13" s="4" t="s">
        <v>12</v>
      </c>
      <c r="H13" s="1">
        <v>2845</v>
      </c>
      <c r="I13" s="11"/>
    </row>
    <row r="14" spans="1:9" ht="12.75">
      <c r="A14" s="6" t="s">
        <v>34</v>
      </c>
      <c r="B14" s="12">
        <f>INDEX(Datas!A34:B45,Datas!$C$33,2)</f>
        <v>0.6</v>
      </c>
      <c r="C14" s="11" t="s">
        <v>28</v>
      </c>
      <c r="D14" s="11"/>
      <c r="G14" s="4" t="s">
        <v>15</v>
      </c>
      <c r="H14" s="14">
        <f>SQRT((H8-H15)^2+(H9-H16)^2)</f>
        <v>1400.9155702910334</v>
      </c>
      <c r="I14" s="11"/>
    </row>
    <row r="15" spans="3:9" ht="12.75">
      <c r="C15" s="11"/>
      <c r="D15" s="11"/>
      <c r="G15" s="4" t="s">
        <v>16</v>
      </c>
      <c r="H15" s="14">
        <f>((H12^2-H10^2+H13^2-H11^2)/(2*(H13-H11))-(H10^2-H8^2+H11^2-H9^2)/(2*(H11-H9)))/((H12-H10)/(H13-H11)-(H10-H8)/(H11-H9))</f>
        <v>1557.893541512876</v>
      </c>
      <c r="I15" s="11"/>
    </row>
    <row r="16" spans="1:9" ht="12.75">
      <c r="A16" s="6" t="s">
        <v>56</v>
      </c>
      <c r="C16" s="11"/>
      <c r="D16" s="11"/>
      <c r="G16" s="4" t="s">
        <v>17</v>
      </c>
      <c r="H16" s="14">
        <f>-(H10-H8)/(H11-H9)*H15+(H10^2-H8^2+H11^2-H9^2)/(2*(H11-H9))</f>
        <v>1498.856235190145</v>
      </c>
      <c r="I16" s="11"/>
    </row>
    <row r="17" spans="1:9" ht="12.75">
      <c r="A17" s="4" t="s">
        <v>13</v>
      </c>
      <c r="B17" s="14">
        <f>2*diametre*pixel/lambda</f>
        <v>848</v>
      </c>
      <c r="C17" s="11" t="s">
        <v>79</v>
      </c>
      <c r="D17" s="14">
        <f>3*diametre*pixel/lambda</f>
        <v>1272</v>
      </c>
      <c r="E17" s="11" t="s">
        <v>82</v>
      </c>
      <c r="I17" s="11"/>
    </row>
    <row r="18" spans="1:9" ht="12.75">
      <c r="A18" s="15" t="s">
        <v>23</v>
      </c>
      <c r="B18" s="16">
        <f>206*pixel/focale_FO_min</f>
        <v>0.5830188679245283</v>
      </c>
      <c r="C18" s="11" t="s">
        <v>86</v>
      </c>
      <c r="D18" s="16">
        <f>206*pixel/focale_F0</f>
        <v>0.38867924528301884</v>
      </c>
      <c r="E18" s="11" t="s">
        <v>83</v>
      </c>
      <c r="G18" s="6" t="s">
        <v>18</v>
      </c>
      <c r="I18" s="11"/>
    </row>
    <row r="19" spans="1:9" ht="12.75">
      <c r="A19" s="15" t="s">
        <v>14</v>
      </c>
      <c r="B19" s="17">
        <f>focale_FO_min/diametre</f>
        <v>8</v>
      </c>
      <c r="C19" s="11" t="s">
        <v>80</v>
      </c>
      <c r="D19" s="17">
        <f>focale_F0/diametre</f>
        <v>12</v>
      </c>
      <c r="E19" s="4" t="s">
        <v>84</v>
      </c>
      <c r="G19" s="4" t="s">
        <v>19</v>
      </c>
      <c r="H19" s="18">
        <f>H14*2</f>
        <v>2801.831140582067</v>
      </c>
      <c r="I19" s="11" t="s">
        <v>30</v>
      </c>
    </row>
    <row r="20" spans="1:9" ht="12.75">
      <c r="A20" s="15" t="s">
        <v>1</v>
      </c>
      <c r="B20" s="17">
        <f>B19*diametre/focale</f>
        <v>1.6</v>
      </c>
      <c r="C20" s="11" t="s">
        <v>81</v>
      </c>
      <c r="D20" s="17">
        <f>D19*diametre/focale</f>
        <v>2.4</v>
      </c>
      <c r="E20" s="11" t="s">
        <v>85</v>
      </c>
      <c r="G20" s="4" t="s">
        <v>24</v>
      </c>
      <c r="H20" s="16">
        <f>H5/H19</f>
        <v>0.6888352306624203</v>
      </c>
      <c r="I20" s="11" t="s">
        <v>61</v>
      </c>
    </row>
    <row r="21" spans="3:9" ht="12.75">
      <c r="C21" s="11"/>
      <c r="D21" s="11"/>
      <c r="G21" s="15" t="s">
        <v>57</v>
      </c>
      <c r="H21" s="14">
        <f>B11*H20</f>
        <v>3785.838427720662</v>
      </c>
      <c r="I21" s="11" t="s">
        <v>62</v>
      </c>
    </row>
    <row r="22" spans="1:9" ht="12.75">
      <c r="A22" s="19" t="s">
        <v>90</v>
      </c>
      <c r="C22" s="11"/>
      <c r="D22" s="11"/>
      <c r="G22" s="15" t="s">
        <v>58</v>
      </c>
      <c r="H22" s="14">
        <f>D11*H20</f>
        <v>2529.402966992407</v>
      </c>
      <c r="I22" s="11" t="s">
        <v>62</v>
      </c>
    </row>
    <row r="23" spans="1:9" ht="12.75">
      <c r="A23" s="25" t="s">
        <v>65</v>
      </c>
      <c r="B23" s="1">
        <v>1</v>
      </c>
      <c r="C23" s="11" t="s">
        <v>66</v>
      </c>
      <c r="D23" s="11"/>
      <c r="G23" s="4" t="s">
        <v>20</v>
      </c>
      <c r="H23" s="14">
        <f>206*pixel/H20</f>
        <v>717.7333243024734</v>
      </c>
      <c r="I23" s="11" t="s">
        <v>60</v>
      </c>
    </row>
    <row r="24" spans="1:9" ht="12.75">
      <c r="A24" s="15" t="s">
        <v>6</v>
      </c>
      <c r="B24" s="8">
        <f>focale*B23</f>
        <v>530</v>
      </c>
      <c r="C24" s="11" t="s">
        <v>60</v>
      </c>
      <c r="D24" s="11"/>
      <c r="G24" s="4" t="s">
        <v>21</v>
      </c>
      <c r="H24" s="17">
        <f>H23/diametre</f>
        <v>6.771069097193146</v>
      </c>
      <c r="I24" s="11"/>
    </row>
    <row r="25" spans="1:9" ht="12.75">
      <c r="A25" s="25" t="s">
        <v>88</v>
      </c>
      <c r="B25" s="17">
        <f>206*pixel/B24</f>
        <v>0.9328301886792453</v>
      </c>
      <c r="C25" s="11" t="s">
        <v>61</v>
      </c>
      <c r="D25" s="11"/>
      <c r="G25" s="4" t="s">
        <v>22</v>
      </c>
      <c r="H25" s="17">
        <f>H24*diametre/focale</f>
        <v>1.354213819438629</v>
      </c>
      <c r="I25" s="11" t="s">
        <v>66</v>
      </c>
    </row>
    <row r="26" spans="1:9" ht="12.75">
      <c r="A26" s="15" t="s">
        <v>5</v>
      </c>
      <c r="B26" s="17">
        <f>B24/diametre</f>
        <v>5</v>
      </c>
      <c r="C26" s="11"/>
      <c r="D26" s="11"/>
      <c r="G26" s="4" t="s">
        <v>2</v>
      </c>
      <c r="H26" s="14">
        <f>1392000/H19</f>
        <v>496.81794874719634</v>
      </c>
      <c r="I26" s="11" t="s">
        <v>63</v>
      </c>
    </row>
    <row r="27" spans="1:9" ht="12.75">
      <c r="A27" s="25" t="s">
        <v>87</v>
      </c>
      <c r="B27" s="14">
        <f>B25*H</f>
        <v>5126.834716981132</v>
      </c>
      <c r="C27" s="29" t="s">
        <v>66</v>
      </c>
      <c r="D27" s="14">
        <f>B25*V</f>
        <v>3425.3524528301887</v>
      </c>
      <c r="E27" s="11" t="s">
        <v>62</v>
      </c>
      <c r="I27" s="11"/>
    </row>
    <row r="28" spans="1:4" ht="12.75">
      <c r="A28" s="25" t="s">
        <v>91</v>
      </c>
      <c r="B28" s="14">
        <f>ROUNDUP(TSUN/(B27*0.7),1)</f>
        <v>0.6</v>
      </c>
      <c r="C28" s="29" t="s">
        <v>66</v>
      </c>
      <c r="D28" s="14">
        <f>ROUNDUP(TSUN/(D27*0.7),1)</f>
        <v>0.9</v>
      </c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</sheetData>
  <sheetProtection selectLockedCells="1"/>
  <mergeCells count="1">
    <mergeCell ref="A1:D1"/>
  </mergeCells>
  <hyperlinks>
    <hyperlink ref="H1" r:id="rId1" display="http://astrosurf.com/colmic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28">
      <selection activeCell="A42" sqref="A42"/>
    </sheetView>
  </sheetViews>
  <sheetFormatPr defaultColWidth="11.421875" defaultRowHeight="12.75"/>
  <cols>
    <col min="1" max="1" width="47.57421875" style="0" bestFit="1" customWidth="1"/>
    <col min="4" max="4" width="16.8515625" style="0" bestFit="1" customWidth="1"/>
  </cols>
  <sheetData>
    <row r="1" spans="1:5" ht="12.75">
      <c r="A1" s="22" t="s">
        <v>29</v>
      </c>
      <c r="B1" s="22" t="s">
        <v>30</v>
      </c>
      <c r="C1" s="22" t="s">
        <v>31</v>
      </c>
      <c r="D1" s="22" t="s">
        <v>32</v>
      </c>
      <c r="E1" s="22">
        <v>28</v>
      </c>
    </row>
    <row r="2" spans="1:4" ht="12.75">
      <c r="A2" t="s">
        <v>92</v>
      </c>
      <c r="B2">
        <v>3.75</v>
      </c>
      <c r="C2">
        <v>1280</v>
      </c>
      <c r="D2">
        <v>960</v>
      </c>
    </row>
    <row r="3" spans="1:4" ht="12.75">
      <c r="A3" t="s">
        <v>67</v>
      </c>
      <c r="B3">
        <v>5.2</v>
      </c>
      <c r="C3">
        <v>1280</v>
      </c>
      <c r="D3">
        <v>1024</v>
      </c>
    </row>
    <row r="4" spans="1:4" ht="12.75">
      <c r="A4" t="s">
        <v>104</v>
      </c>
      <c r="B4">
        <v>6</v>
      </c>
      <c r="C4">
        <v>752</v>
      </c>
      <c r="D4">
        <v>480</v>
      </c>
    </row>
    <row r="5" spans="1:4" ht="12.75">
      <c r="A5" s="27" t="s">
        <v>103</v>
      </c>
      <c r="B5">
        <v>5.5</v>
      </c>
      <c r="C5">
        <v>2048</v>
      </c>
      <c r="D5">
        <v>2048</v>
      </c>
    </row>
    <row r="6" spans="1:4" ht="12.75">
      <c r="A6" s="27" t="s">
        <v>106</v>
      </c>
      <c r="B6">
        <v>2.2</v>
      </c>
      <c r="C6">
        <v>2592</v>
      </c>
      <c r="D6">
        <v>1944</v>
      </c>
    </row>
    <row r="7" spans="1:4" ht="12.75">
      <c r="A7" t="s">
        <v>93</v>
      </c>
      <c r="B7">
        <v>5.3</v>
      </c>
      <c r="C7">
        <v>1280</v>
      </c>
      <c r="D7">
        <v>1024</v>
      </c>
    </row>
    <row r="8" spans="1:4" ht="12.75">
      <c r="A8" t="s">
        <v>68</v>
      </c>
      <c r="B8">
        <v>5.6</v>
      </c>
      <c r="C8">
        <v>640</v>
      </c>
      <c r="D8">
        <v>480</v>
      </c>
    </row>
    <row r="9" spans="1:4" ht="12.75">
      <c r="A9" t="s">
        <v>70</v>
      </c>
      <c r="B9">
        <v>4.65</v>
      </c>
      <c r="C9">
        <v>1024</v>
      </c>
      <c r="D9">
        <v>768</v>
      </c>
    </row>
    <row r="10" spans="1:4" ht="12.75">
      <c r="A10" t="s">
        <v>71</v>
      </c>
      <c r="B10">
        <v>4.65</v>
      </c>
      <c r="C10">
        <v>1392</v>
      </c>
      <c r="D10">
        <v>1040</v>
      </c>
    </row>
    <row r="11" spans="1:4" ht="12.75">
      <c r="A11" s="27" t="s">
        <v>69</v>
      </c>
      <c r="B11">
        <v>4.4</v>
      </c>
      <c r="C11">
        <v>1600</v>
      </c>
      <c r="D11">
        <v>1200</v>
      </c>
    </row>
    <row r="12" spans="1:4" ht="12.75">
      <c r="A12" s="27" t="s">
        <v>94</v>
      </c>
      <c r="B12">
        <v>6.45</v>
      </c>
      <c r="C12">
        <v>1392</v>
      </c>
      <c r="D12">
        <v>1040</v>
      </c>
    </row>
    <row r="13" spans="1:4" ht="12.75">
      <c r="A13" s="27" t="s">
        <v>72</v>
      </c>
      <c r="B13">
        <v>7.4</v>
      </c>
      <c r="C13">
        <v>640</v>
      </c>
      <c r="D13">
        <v>480</v>
      </c>
    </row>
    <row r="14" spans="1:4" ht="12.75">
      <c r="A14" s="27" t="s">
        <v>95</v>
      </c>
      <c r="B14">
        <v>3.75</v>
      </c>
      <c r="C14">
        <v>1280</v>
      </c>
      <c r="D14">
        <v>960</v>
      </c>
    </row>
    <row r="15" spans="1:4" ht="12.75">
      <c r="A15" s="27" t="s">
        <v>73</v>
      </c>
      <c r="B15">
        <v>5.6</v>
      </c>
      <c r="C15">
        <v>640</v>
      </c>
      <c r="D15">
        <v>480</v>
      </c>
    </row>
    <row r="16" spans="1:4" ht="12.75">
      <c r="A16" s="27" t="s">
        <v>96</v>
      </c>
      <c r="B16">
        <v>3.45</v>
      </c>
      <c r="C16">
        <v>2448</v>
      </c>
      <c r="D16">
        <v>2048</v>
      </c>
    </row>
    <row r="17" spans="1:4" ht="12.75">
      <c r="A17" t="s">
        <v>102</v>
      </c>
      <c r="B17">
        <v>4.54</v>
      </c>
      <c r="C17">
        <v>1920</v>
      </c>
      <c r="D17">
        <v>1440</v>
      </c>
    </row>
    <row r="18" spans="1:4" ht="12.75">
      <c r="A18" t="s">
        <v>97</v>
      </c>
      <c r="B18">
        <v>3.69</v>
      </c>
      <c r="C18">
        <v>1928</v>
      </c>
      <c r="D18">
        <v>1448</v>
      </c>
    </row>
    <row r="19" spans="1:4" ht="12.75">
      <c r="A19" t="s">
        <v>98</v>
      </c>
      <c r="B19">
        <v>4.54</v>
      </c>
      <c r="C19">
        <v>2736</v>
      </c>
      <c r="D19">
        <v>2192</v>
      </c>
    </row>
    <row r="20" spans="1:4" ht="12.75">
      <c r="A20" t="s">
        <v>99</v>
      </c>
      <c r="B20">
        <v>3.69</v>
      </c>
      <c r="C20">
        <v>3376</v>
      </c>
      <c r="D20">
        <v>2704</v>
      </c>
    </row>
    <row r="21" spans="1:4" ht="12.75">
      <c r="A21" t="s">
        <v>100</v>
      </c>
      <c r="B21">
        <v>3.63</v>
      </c>
      <c r="C21">
        <v>1328</v>
      </c>
      <c r="D21">
        <v>1048</v>
      </c>
    </row>
    <row r="22" spans="1:4" ht="12.75">
      <c r="A22" t="s">
        <v>101</v>
      </c>
      <c r="B22">
        <v>2.5</v>
      </c>
      <c r="C22">
        <v>2048</v>
      </c>
      <c r="D22">
        <v>1536</v>
      </c>
    </row>
    <row r="23" spans="1:4" ht="12.75">
      <c r="A23" s="27" t="s">
        <v>108</v>
      </c>
      <c r="B23">
        <v>5.86</v>
      </c>
      <c r="C23">
        <v>1920</v>
      </c>
      <c r="D23">
        <v>1200</v>
      </c>
    </row>
    <row r="24" spans="1:4" ht="12.75">
      <c r="A24" s="27" t="s">
        <v>109</v>
      </c>
      <c r="B24">
        <v>2.4</v>
      </c>
      <c r="C24">
        <v>3096</v>
      </c>
      <c r="D24">
        <v>2080</v>
      </c>
    </row>
    <row r="25" spans="1:4" ht="12.75">
      <c r="A25" s="27" t="s">
        <v>107</v>
      </c>
      <c r="B25">
        <v>3.75</v>
      </c>
      <c r="C25">
        <v>1304</v>
      </c>
      <c r="D25">
        <v>976</v>
      </c>
    </row>
    <row r="26" spans="1:4" ht="12.75">
      <c r="A26" s="27" t="s">
        <v>113</v>
      </c>
      <c r="B26">
        <v>8.4</v>
      </c>
      <c r="C26" s="27">
        <v>4240</v>
      </c>
      <c r="D26" s="27">
        <v>2832</v>
      </c>
    </row>
    <row r="27" spans="1:4" ht="12.75">
      <c r="A27" s="27" t="s">
        <v>111</v>
      </c>
      <c r="B27">
        <v>3.8</v>
      </c>
      <c r="C27">
        <v>4656</v>
      </c>
      <c r="D27">
        <v>3520</v>
      </c>
    </row>
    <row r="28" spans="1:4" ht="12.75">
      <c r="A28" s="27" t="s">
        <v>110</v>
      </c>
      <c r="B28">
        <v>2.9</v>
      </c>
      <c r="C28">
        <v>1936</v>
      </c>
      <c r="D28">
        <v>1096</v>
      </c>
    </row>
    <row r="29" spans="1:4" ht="12.75">
      <c r="A29" s="27" t="s">
        <v>112</v>
      </c>
      <c r="B29">
        <v>2.4</v>
      </c>
      <c r="C29">
        <v>5496</v>
      </c>
      <c r="D29">
        <v>3672</v>
      </c>
    </row>
    <row r="30" spans="1:4" ht="12.75">
      <c r="A30" s="1" t="s">
        <v>78</v>
      </c>
      <c r="B30" s="1">
        <v>2.4</v>
      </c>
      <c r="C30" s="1">
        <v>5496</v>
      </c>
      <c r="D30" s="1">
        <v>3672</v>
      </c>
    </row>
    <row r="33" spans="1:3" ht="12.75">
      <c r="A33" s="22" t="s">
        <v>27</v>
      </c>
      <c r="B33" s="22" t="s">
        <v>26</v>
      </c>
      <c r="C33" s="22">
        <v>8</v>
      </c>
    </row>
    <row r="34" spans="1:3" ht="12.75">
      <c r="A34" s="27" t="s">
        <v>116</v>
      </c>
      <c r="B34">
        <v>0.355</v>
      </c>
      <c r="C34" s="22"/>
    </row>
    <row r="35" spans="1:2" ht="12.75">
      <c r="A35" s="27" t="s">
        <v>117</v>
      </c>
      <c r="B35">
        <v>0.393</v>
      </c>
    </row>
    <row r="36" spans="1:2" ht="12.75">
      <c r="A36" s="27" t="s">
        <v>114</v>
      </c>
      <c r="B36">
        <v>0.45</v>
      </c>
    </row>
    <row r="37" spans="1:2" ht="12.75">
      <c r="A37" s="27" t="s">
        <v>121</v>
      </c>
      <c r="B37">
        <v>0.486</v>
      </c>
    </row>
    <row r="38" spans="1:2" ht="12.75">
      <c r="A38" s="27" t="s">
        <v>120</v>
      </c>
      <c r="B38">
        <v>0.5</v>
      </c>
    </row>
    <row r="39" spans="1:2" ht="12.75">
      <c r="A39" s="27" t="s">
        <v>115</v>
      </c>
      <c r="B39">
        <v>0.53</v>
      </c>
    </row>
    <row r="40" spans="1:2" ht="12.75">
      <c r="A40" s="27" t="s">
        <v>123</v>
      </c>
      <c r="B40">
        <v>0.54</v>
      </c>
    </row>
    <row r="41" spans="1:2" ht="12.75">
      <c r="A41" s="27" t="s">
        <v>124</v>
      </c>
      <c r="B41">
        <v>0.6</v>
      </c>
    </row>
    <row r="42" spans="1:2" ht="12.75">
      <c r="A42" s="27" t="s">
        <v>122</v>
      </c>
      <c r="B42">
        <v>0.656</v>
      </c>
    </row>
    <row r="43" spans="1:2" ht="12.75">
      <c r="A43" s="27" t="s">
        <v>118</v>
      </c>
      <c r="B43">
        <v>0.66</v>
      </c>
    </row>
    <row r="44" spans="1:2" ht="12.75">
      <c r="A44" s="27" t="s">
        <v>119</v>
      </c>
      <c r="B44">
        <v>0.672</v>
      </c>
    </row>
    <row r="45" spans="1:2" ht="12.75">
      <c r="A45" s="1" t="s">
        <v>53</v>
      </c>
      <c r="B45" s="1">
        <v>0.7</v>
      </c>
    </row>
    <row r="49" spans="1:4" ht="12.75">
      <c r="A49" s="22" t="s">
        <v>36</v>
      </c>
      <c r="B49" s="22" t="s">
        <v>52</v>
      </c>
      <c r="C49" s="22"/>
      <c r="D49" s="22">
        <v>3</v>
      </c>
    </row>
    <row r="50" spans="1:2" ht="12.75">
      <c r="A50" t="s">
        <v>37</v>
      </c>
      <c r="B50">
        <v>1951</v>
      </c>
    </row>
    <row r="51" spans="1:2" ht="12.75">
      <c r="A51" t="s">
        <v>38</v>
      </c>
      <c r="B51">
        <v>1943</v>
      </c>
    </row>
    <row r="52" spans="1:2" ht="12.75">
      <c r="A52" t="s">
        <v>39</v>
      </c>
      <c r="B52">
        <v>1930</v>
      </c>
    </row>
    <row r="53" spans="1:2" ht="12.75">
      <c r="A53" t="s">
        <v>40</v>
      </c>
      <c r="B53">
        <v>1913</v>
      </c>
    </row>
    <row r="54" spans="1:2" ht="12.75">
      <c r="A54" t="s">
        <v>41</v>
      </c>
      <c r="B54">
        <v>1899</v>
      </c>
    </row>
    <row r="55" spans="1:2" ht="12.75">
      <c r="A55" t="s">
        <v>42</v>
      </c>
      <c r="B55">
        <v>1889</v>
      </c>
    </row>
    <row r="56" spans="1:2" ht="12.75">
      <c r="A56" t="s">
        <v>43</v>
      </c>
      <c r="B56">
        <v>1888</v>
      </c>
    </row>
    <row r="57" spans="1:2" ht="12.75">
      <c r="A57" t="s">
        <v>44</v>
      </c>
      <c r="B57">
        <v>1895</v>
      </c>
    </row>
    <row r="58" spans="1:2" ht="12.75">
      <c r="A58" t="s">
        <v>45</v>
      </c>
      <c r="B58">
        <v>1908</v>
      </c>
    </row>
    <row r="59" spans="1:2" ht="12.75">
      <c r="A59" t="s">
        <v>46</v>
      </c>
      <c r="B59">
        <v>1925</v>
      </c>
    </row>
    <row r="60" spans="1:2" ht="12.75">
      <c r="A60" t="s">
        <v>47</v>
      </c>
      <c r="B60">
        <v>1940</v>
      </c>
    </row>
    <row r="61" spans="1:2" ht="12.75">
      <c r="A61" t="s">
        <v>48</v>
      </c>
      <c r="B61">
        <v>1950</v>
      </c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p745314</dc:creator>
  <cp:keywords/>
  <dc:description/>
  <cp:lastModifiedBy>MICHEL COLLART - P745314</cp:lastModifiedBy>
  <cp:lastPrinted>2010-04-19T14:45:29Z</cp:lastPrinted>
  <dcterms:created xsi:type="dcterms:W3CDTF">2010-02-09T12:13:39Z</dcterms:created>
  <dcterms:modified xsi:type="dcterms:W3CDTF">2018-09-26T15:52:34Z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P745314@inetpsa.com</vt:lpwstr>
  </property>
  <property fmtid="{D5CDD505-2E9C-101B-9397-08002B2CF9AE}" pid="5" name="MSIP_Label_2fd53d93-3f4c-4b90-b511-bd6bdbb4fba9_SetDate">
    <vt:lpwstr>2018-09-21T09:01:26.3138787Z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