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7715" windowHeight="9240" activeTab="0"/>
  </bookViews>
  <sheets>
    <sheet name="Home" sheetId="1" r:id="rId1"/>
    <sheet name="Datas" sheetId="2" r:id="rId2"/>
  </sheets>
  <definedNames>
    <definedName name="diametre">'Home'!$B$6</definedName>
    <definedName name="focale">'Home'!$B$5</definedName>
    <definedName name="focale_F0">'Home'!$D$16</definedName>
    <definedName name="focale_F0_max">'Home'!$D$16</definedName>
    <definedName name="focale_FO_min">'Home'!$B$16</definedName>
    <definedName name="H">'Home'!$B$11</definedName>
    <definedName name="lambda">'Home'!$B$13</definedName>
    <definedName name="onde">'Home'!#REF!</definedName>
    <definedName name="pixel">'Home'!$B$10</definedName>
    <definedName name="TSUN">'Home'!$H$5</definedName>
    <definedName name="Tsun2">'Home'!$H$6</definedName>
    <definedName name="V">'Home'!$D$11</definedName>
  </definedNames>
  <calcPr fullCalcOnLoad="1"/>
</workbook>
</file>

<file path=xl/comments1.xml><?xml version="1.0" encoding="utf-8"?>
<comments xmlns="http://schemas.openxmlformats.org/spreadsheetml/2006/main">
  <authors>
    <author>p745314</author>
  </authors>
  <commentList>
    <comment ref="G19" authorId="0">
      <text>
        <r>
          <rPr>
            <sz val="9"/>
            <rFont val="Tahoma"/>
            <family val="2"/>
          </rPr>
          <t>This value is useful to know the diameter of the circle to be drawn on your picture, for a coronographic effect.</t>
        </r>
      </text>
    </comment>
    <comment ref="A9" authorId="0">
      <text>
        <r>
          <rPr>
            <sz val="9"/>
            <rFont val="Tahoma"/>
            <family val="2"/>
          </rPr>
          <t>Vous pouvez ajouter sur la feuille Datas les caractéristiques de votre caméra si celle-ci ne se trouve pas dans la liste.</t>
        </r>
      </text>
    </comment>
    <comment ref="A13" authorId="0">
      <text>
        <r>
          <rPr>
            <sz val="9"/>
            <rFont val="Tahoma"/>
            <family val="0"/>
          </rPr>
          <t xml:space="preserve">Vous pouvez ajouter sur la feuille Datas une nouvelle longueur d'onde si celle-ci ne se trouve pas dans la liste.
</t>
        </r>
      </text>
    </comment>
    <comment ref="A16" authorId="0">
      <text>
        <r>
          <rPr>
            <sz val="9"/>
            <rFont val="Tahoma"/>
            <family val="0"/>
          </rPr>
          <t xml:space="preserve">Fo= 2 (or 3) *D(mm) * P(pixel in µm) / λ(µm)
</t>
        </r>
      </text>
    </comment>
    <comment ref="A17" authorId="0">
      <text>
        <r>
          <rPr>
            <sz val="9"/>
            <rFont val="Tahoma"/>
            <family val="2"/>
          </rPr>
          <t>Eo= 206 * P(pixel in µm) / Fo(mm)</t>
        </r>
      </text>
    </comment>
    <comment ref="G20" authorId="0">
      <text>
        <r>
          <rPr>
            <sz val="9"/>
            <rFont val="Tahoma"/>
            <family val="0"/>
          </rPr>
          <t>compare this value with the optimal sampling at the left.</t>
        </r>
      </text>
    </comment>
    <comment ref="G25" authorId="0">
      <text>
        <r>
          <rPr>
            <sz val="9"/>
            <rFont val="Tahoma"/>
            <family val="2"/>
          </rPr>
          <t>Compare this value with the magnifying of your Barlow to know the exact magnifying with extension tubes.</t>
        </r>
      </text>
    </comment>
    <comment ref="K8" authorId="0">
      <text>
        <r>
          <rPr>
            <sz val="9"/>
            <rFont val="Tahoma"/>
            <family val="0"/>
          </rPr>
          <t>You can use this value of Earth's diameter to draw it in your picture</t>
        </r>
      </text>
    </comment>
    <comment ref="B5" authorId="0">
      <text>
        <r>
          <rPr>
            <sz val="9"/>
            <rFont val="Tahoma"/>
            <family val="2"/>
          </rPr>
          <t>Enter the focal in millimeters of your telescope</t>
        </r>
      </text>
    </comment>
    <comment ref="B6" authorId="0">
      <text>
        <r>
          <rPr>
            <sz val="9"/>
            <rFont val="Tahoma"/>
            <family val="0"/>
          </rPr>
          <t>Enter the diameter in millimeters of your telescope. If you use a filter in front of the objective, please enter the diameter of this filter.</t>
        </r>
      </text>
    </comment>
    <comment ref="B22" authorId="0">
      <text>
        <r>
          <rPr>
            <sz val="9"/>
            <rFont val="Tahoma"/>
            <family val="0"/>
          </rPr>
          <t>Enter here the magnifying of your Barlow. Compare it with the measured value at right. Magnifying could vary with extension tubes.</t>
        </r>
      </text>
    </comment>
    <comment ref="H8" authorId="0">
      <text>
        <r>
          <rPr>
            <sz val="9"/>
            <rFont val="Tahoma"/>
            <family val="2"/>
          </rPr>
          <t>Enter in these boxes the values X and Y of the 3 points measured on your picture.</t>
        </r>
      </text>
    </comment>
    <comment ref="G7" authorId="0">
      <text>
        <r>
          <rPr>
            <sz val="9"/>
            <rFont val="Tahoma"/>
            <family val="0"/>
          </rPr>
          <t xml:space="preserve">Use Photoshop or an other software. Clic on the solar edge, on 3 points away from each other, and report X and Y coordinates of these 3 points.
</t>
        </r>
      </text>
    </comment>
  </commentList>
</comments>
</file>

<file path=xl/sharedStrings.xml><?xml version="1.0" encoding="utf-8"?>
<sst xmlns="http://schemas.openxmlformats.org/spreadsheetml/2006/main" count="124" uniqueCount="105">
  <si>
    <t>Lambda</t>
  </si>
  <si>
    <t>Halpha</t>
  </si>
  <si>
    <t>CaK</t>
  </si>
  <si>
    <t>Continuum</t>
  </si>
  <si>
    <t>µm</t>
  </si>
  <si>
    <t>pixels</t>
  </si>
  <si>
    <t>H</t>
  </si>
  <si>
    <t>V</t>
  </si>
  <si>
    <t>Date</t>
  </si>
  <si>
    <t>UV</t>
  </si>
  <si>
    <t>mm</t>
  </si>
  <si>
    <t>"/pixel</t>
  </si>
  <si>
    <t>km/pixel</t>
  </si>
  <si>
    <t>http://astrosurf.com/colmic</t>
  </si>
  <si>
    <t>x</t>
  </si>
  <si>
    <t>Aptina MT09M034 (QHY5-L2)</t>
  </si>
  <si>
    <t>Aptina MT9M001 (PL1-M, PLC-M)</t>
  </si>
  <si>
    <t>Sony IMX035 (Point Grey, PLB-MX2)</t>
  </si>
  <si>
    <t>Sony ICX694 (Point Grey)</t>
  </si>
  <si>
    <t>Sony ICX098 (Toucam, Vestapro, DMK21)</t>
  </si>
  <si>
    <t>Sony ICX274 (Basler 1600, DMK51, Skynyxx 2.2)</t>
  </si>
  <si>
    <t>Sony ICX204 (DMK31)</t>
  </si>
  <si>
    <t>Sony ICX205 (Skynyxx 2.1, DMK41)</t>
  </si>
  <si>
    <t>Sony ICX687 (Point Grey)</t>
  </si>
  <si>
    <t>Sony ICX674 (Lumenera LT365, Point Grey)</t>
  </si>
  <si>
    <t>Ruby EV76C (Point Grey, IDS)</t>
  </si>
  <si>
    <t>CMOSIS CMV4000 (Lumenera LT425, IDS)</t>
  </si>
  <si>
    <t>Sony ICX424 (Skynyxx 2.0, Basler 640-80)</t>
  </si>
  <si>
    <t>Sony ICX618 (Basler 640-100, DMK21-618)</t>
  </si>
  <si>
    <t>Sony ICX285 (Lumenera LU165, Point Grey)</t>
  </si>
  <si>
    <t>Sony ICX445 (Basler 1300, PLB-MX, Point Grey)</t>
  </si>
  <si>
    <t>Sony ICX814 (Point Grey)</t>
  </si>
  <si>
    <t>Solar Spreadsheet</t>
  </si>
  <si>
    <t>Please fill the yellow boxes and the drop-down</t>
  </si>
  <si>
    <t>Your telescope:</t>
  </si>
  <si>
    <t>Focal (mm) F</t>
  </si>
  <si>
    <t>Diameter (mm) D</t>
  </si>
  <si>
    <t>F/D Ratio</t>
  </si>
  <si>
    <t>Your camera:</t>
  </si>
  <si>
    <t>Pixels size P (µm)</t>
  </si>
  <si>
    <t>Sensor size H x V (nb of pixels)</t>
  </si>
  <si>
    <t>Other camera (Please fill it's datas in the Datas tab)</t>
  </si>
  <si>
    <t>Camera</t>
  </si>
  <si>
    <t>Name</t>
  </si>
  <si>
    <t>Other wavelength</t>
  </si>
  <si>
    <t>Sun diameter in arcseconds</t>
  </si>
  <si>
    <t>White light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</si>
  <si>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</si>
  <si>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</si>
  <si>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</si>
  <si>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</si>
  <si>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</si>
  <si>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</si>
  <si>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</si>
  <si>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</si>
  <si>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</si>
  <si>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</si>
  <si>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</si>
  <si>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</si>
  <si>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Datas to obtain optimal resolution: </t>
  </si>
  <si>
    <t>Wavelength (µm):</t>
  </si>
  <si>
    <t>Optimal focal (mm)</t>
  </si>
  <si>
    <t>Optimal sampling (arcseconds/pixel)</t>
  </si>
  <si>
    <t>Optimal F/D ratio</t>
  </si>
  <si>
    <t>mm min</t>
  </si>
  <si>
    <t>mm max</t>
  </si>
  <si>
    <t>"/pixel max</t>
  </si>
  <si>
    <t>"/pixel min</t>
  </si>
  <si>
    <t>min</t>
  </si>
  <si>
    <t>max</t>
  </si>
  <si>
    <t>x max</t>
  </si>
  <si>
    <t>x min</t>
  </si>
  <si>
    <t>Optimal magnifying</t>
  </si>
  <si>
    <t>Test your Barlow:</t>
  </si>
  <si>
    <t>Magnifying (Barlow, etc..)</t>
  </si>
  <si>
    <t>Focal (mm)</t>
  </si>
  <si>
    <t>Sampling (" d'arc/pixel)</t>
  </si>
  <si>
    <t>Sampling (arcseconds/pixel)</t>
  </si>
  <si>
    <t>Field of camera H x V (arcseconds)</t>
  </si>
  <si>
    <t>"</t>
  </si>
  <si>
    <t>Contact: Michel Collart (colmifr@gmail.com)</t>
  </si>
  <si>
    <t>Sun diameter in :</t>
  </si>
  <si>
    <t>Sun diameter (arcseconds)</t>
  </si>
  <si>
    <t>solar radius measured on your picture:</t>
  </si>
  <si>
    <t>X2 coordinate</t>
  </si>
  <si>
    <t>Y1 coordinate</t>
  </si>
  <si>
    <t>X1 coordinate</t>
  </si>
  <si>
    <t>Y2 coordinate</t>
  </si>
  <si>
    <t>X3 coordinate</t>
  </si>
  <si>
    <t>Y3 coordinate</t>
  </si>
  <si>
    <t>Solar radius in pixels</t>
  </si>
  <si>
    <t>X coordinate of center</t>
  </si>
  <si>
    <t>Y coordinate of center</t>
  </si>
  <si>
    <t>Datas measured on your picture:</t>
  </si>
  <si>
    <t>Solar diameter (pixels)</t>
  </si>
  <si>
    <t>Field of camera H (arcseconds)</t>
  </si>
  <si>
    <t>Field of camera V (arcseconds)</t>
  </si>
  <si>
    <t>F/D ratio</t>
  </si>
  <si>
    <t>Magnifying</t>
  </si>
  <si>
    <t>Kilomèters/pixel measured</t>
  </si>
  <si>
    <t>Comparison scales:</t>
  </si>
  <si>
    <t>Earth/Moon distance scale</t>
  </si>
  <si>
    <t>Jupiter diameter scale</t>
  </si>
  <si>
    <t>Earth diameter scale</t>
  </si>
  <si>
    <t>Moon diameter scale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</si>
</sst>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45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trosurf.com/colmi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K10" sqref="K10"/>
    </sheetView>
  </sheetViews>
  <sheetFormatPr defaultColWidth="11.421875" defaultRowHeight="12.75"/>
  <cols>
    <col min="1" max="1" width="46.8515625" style="4" customWidth="1"/>
    <col min="2" max="2" width="9.8515625" style="4" customWidth="1"/>
    <col min="3" max="3" width="9.421875" style="4" bestFit="1" customWidth="1"/>
    <col min="4" max="4" width="5.57421875" style="4" bestFit="1" customWidth="1"/>
    <col min="5" max="5" width="9.8515625" style="4" bestFit="1" customWidth="1"/>
    <col min="6" max="6" width="2.140625" style="4" customWidth="1"/>
    <col min="7" max="7" width="36.57421875" style="4" bestFit="1" customWidth="1"/>
    <col min="8" max="8" width="8.8515625" style="4" customWidth="1"/>
    <col min="9" max="9" width="3.7109375" style="4" customWidth="1"/>
    <col min="10" max="10" width="4.7109375" style="4" customWidth="1"/>
    <col min="11" max="11" width="26.7109375" style="4" bestFit="1" customWidth="1"/>
    <col min="12" max="12" width="6.421875" style="4" customWidth="1"/>
    <col min="13" max="16384" width="11.421875" style="4" customWidth="1"/>
  </cols>
  <sheetData>
    <row r="1" spans="1:8" ht="18">
      <c r="A1" s="30" t="s">
        <v>32</v>
      </c>
      <c r="B1" s="30"/>
      <c r="C1" s="30"/>
      <c r="D1" s="30"/>
      <c r="E1" s="28"/>
      <c r="F1" s="28"/>
      <c r="G1" s="13" t="s">
        <v>80</v>
      </c>
      <c r="H1" s="24" t="s">
        <v>13</v>
      </c>
    </row>
    <row r="2" spans="1:6" ht="21" customHeight="1">
      <c r="A2" s="21" t="s">
        <v>33</v>
      </c>
      <c r="C2" s="3"/>
      <c r="D2" s="3"/>
      <c r="E2" s="3"/>
      <c r="F2" s="5"/>
    </row>
    <row r="3" spans="1:7" ht="7.5" customHeight="1">
      <c r="A3" s="3"/>
      <c r="B3" s="3"/>
      <c r="C3" s="3"/>
      <c r="D3" s="3"/>
      <c r="E3" s="3"/>
      <c r="F3" s="3"/>
      <c r="G3" s="3"/>
    </row>
    <row r="4" spans="1:7" ht="12.75">
      <c r="A4" s="6" t="s">
        <v>34</v>
      </c>
      <c r="B4" s="6"/>
      <c r="G4" s="6" t="s">
        <v>81</v>
      </c>
    </row>
    <row r="5" spans="1:9" ht="12.75">
      <c r="A5" s="4" t="s">
        <v>35</v>
      </c>
      <c r="B5" s="1">
        <v>1000</v>
      </c>
      <c r="C5" s="11" t="s">
        <v>10</v>
      </c>
      <c r="D5" s="11"/>
      <c r="E5" s="7"/>
      <c r="G5" s="4" t="s">
        <v>82</v>
      </c>
      <c r="H5" s="18">
        <f>INDEX(Datas!A40:B51,Datas!D39,2)</f>
        <v>1899</v>
      </c>
      <c r="I5" s="11" t="s">
        <v>79</v>
      </c>
    </row>
    <row r="6" spans="1:9" ht="12.75">
      <c r="A6" s="4" t="s">
        <v>36</v>
      </c>
      <c r="B6" s="1">
        <v>90</v>
      </c>
      <c r="C6" s="11" t="s">
        <v>10</v>
      </c>
      <c r="D6" s="11"/>
      <c r="E6" s="7"/>
      <c r="H6" s="8"/>
      <c r="I6" s="11"/>
    </row>
    <row r="7" spans="1:13" ht="12.75">
      <c r="A7" s="23" t="s">
        <v>37</v>
      </c>
      <c r="B7" s="26">
        <f>ROUND(focale/diametre,1)</f>
        <v>11.1</v>
      </c>
      <c r="E7" s="7"/>
      <c r="G7" s="6" t="s">
        <v>83</v>
      </c>
      <c r="K7" s="20" t="s">
        <v>100</v>
      </c>
      <c r="M7" s="11"/>
    </row>
    <row r="8" spans="7:13" ht="12.75">
      <c r="G8" s="4" t="s">
        <v>86</v>
      </c>
      <c r="H8" s="1">
        <v>46</v>
      </c>
      <c r="I8" s="11"/>
      <c r="K8" s="23" t="s">
        <v>103</v>
      </c>
      <c r="L8" s="14">
        <f>12756/H26</f>
        <v>36.75143558519768</v>
      </c>
      <c r="M8" s="11" t="s">
        <v>5</v>
      </c>
    </row>
    <row r="9" spans="1:13" ht="12.75">
      <c r="A9" s="6" t="s">
        <v>38</v>
      </c>
      <c r="C9" s="9"/>
      <c r="D9" s="9"/>
      <c r="E9" s="10"/>
      <c r="G9" s="4" t="s">
        <v>85</v>
      </c>
      <c r="H9" s="1">
        <v>644</v>
      </c>
      <c r="I9" s="11"/>
      <c r="K9" s="23" t="s">
        <v>104</v>
      </c>
      <c r="L9" s="14">
        <f>3475/H26</f>
        <v>10.011856276149416</v>
      </c>
      <c r="M9" s="11" t="s">
        <v>5</v>
      </c>
    </row>
    <row r="10" spans="1:13" ht="12.75">
      <c r="A10" s="4" t="s">
        <v>39</v>
      </c>
      <c r="B10" s="2">
        <f>INDEX(Datas!A2:D25,Datas!$E$1,2)</f>
        <v>4.54</v>
      </c>
      <c r="C10" s="11" t="s">
        <v>4</v>
      </c>
      <c r="D10" s="11"/>
      <c r="E10" s="10"/>
      <c r="G10" s="4" t="s">
        <v>84</v>
      </c>
      <c r="H10" s="1">
        <v>810</v>
      </c>
      <c r="I10" s="11"/>
      <c r="K10" s="23" t="s">
        <v>102</v>
      </c>
      <c r="L10" s="14">
        <f>142984/H26</f>
        <v>411.9525921694815</v>
      </c>
      <c r="M10" s="11" t="s">
        <v>5</v>
      </c>
    </row>
    <row r="11" spans="1:13" ht="12.75">
      <c r="A11" s="23" t="s">
        <v>40</v>
      </c>
      <c r="B11" s="2">
        <f>INDEX(Datas!A2:D25,Datas!$E$1,3)</f>
        <v>1920</v>
      </c>
      <c r="C11" s="29" t="s">
        <v>14</v>
      </c>
      <c r="D11" s="2">
        <f>INDEX(Datas!A2:D25,Datas!$E$1,4)</f>
        <v>1440</v>
      </c>
      <c r="E11" s="11" t="s">
        <v>5</v>
      </c>
      <c r="G11" s="4" t="s">
        <v>87</v>
      </c>
      <c r="H11" s="1">
        <v>488</v>
      </c>
      <c r="I11" s="11"/>
      <c r="K11" s="23" t="s">
        <v>101</v>
      </c>
      <c r="L11" s="14">
        <f>350000/H26</f>
        <v>1008.3884019143296</v>
      </c>
      <c r="M11" s="11" t="s">
        <v>5</v>
      </c>
    </row>
    <row r="12" spans="4:9" ht="12.75">
      <c r="D12" s="11"/>
      <c r="G12" s="4" t="s">
        <v>88</v>
      </c>
      <c r="H12" s="1">
        <v>1585</v>
      </c>
      <c r="I12" s="11"/>
    </row>
    <row r="13" spans="1:9" ht="12.75">
      <c r="A13" s="6" t="s">
        <v>60</v>
      </c>
      <c r="B13" s="12">
        <f>INDEX(Datas!A30:B35,Datas!$C$29,2)</f>
        <v>0.656</v>
      </c>
      <c r="C13" s="11" t="s">
        <v>4</v>
      </c>
      <c r="D13" s="11"/>
      <c r="G13" s="4" t="s">
        <v>89</v>
      </c>
      <c r="H13" s="1">
        <v>639</v>
      </c>
      <c r="I13" s="11"/>
    </row>
    <row r="14" spans="3:9" ht="12.75">
      <c r="C14" s="11"/>
      <c r="D14" s="11"/>
      <c r="G14" s="4" t="s">
        <v>90</v>
      </c>
      <c r="H14" s="14">
        <f>SQRT((H8-H15)^2+(H9-H16)^2)</f>
        <v>2005.2523649496384</v>
      </c>
      <c r="I14" s="11"/>
    </row>
    <row r="15" spans="1:9" ht="12.75">
      <c r="A15" s="6" t="s">
        <v>59</v>
      </c>
      <c r="C15" s="11"/>
      <c r="D15" s="11"/>
      <c r="G15" s="4" t="s">
        <v>91</v>
      </c>
      <c r="H15" s="14">
        <f>((H12^2-H10^2+H13^2-H11^2)/(2*(H13-H11))-(H10^2-H8^2+H11^2-H9^2)/(2*(H11-H9)))/((H12-H10)/(H13-H11)-(H10-H8)/(H11-H9))</f>
        <v>821.5159821216944</v>
      </c>
      <c r="I15" s="11"/>
    </row>
    <row r="16" spans="1:9" ht="12.75">
      <c r="A16" s="4" t="s">
        <v>61</v>
      </c>
      <c r="B16" s="14">
        <f>2*diametre*pixel/lambda</f>
        <v>1245.7317073170732</v>
      </c>
      <c r="C16" s="11" t="s">
        <v>64</v>
      </c>
      <c r="D16" s="14">
        <f>3*diametre*pixel/lambda</f>
        <v>1868.5975609756097</v>
      </c>
      <c r="E16" s="11" t="s">
        <v>65</v>
      </c>
      <c r="G16" s="4" t="s">
        <v>92</v>
      </c>
      <c r="H16" s="14">
        <f>-(H10-H8)/(H11-H9)*H15+(H10^2-H8^2+H11^2-H9^2)/(2*(H11-H9))</f>
        <v>2493.219297057529</v>
      </c>
      <c r="I16" s="11"/>
    </row>
    <row r="17" spans="1:9" ht="12.75">
      <c r="A17" s="15" t="s">
        <v>62</v>
      </c>
      <c r="B17" s="16">
        <f>206*pixel/focale_FO_min</f>
        <v>0.7507555555555555</v>
      </c>
      <c r="C17" s="11" t="s">
        <v>67</v>
      </c>
      <c r="D17" s="16">
        <f>206*pixel/focale_F0</f>
        <v>0.5005037037037038</v>
      </c>
      <c r="E17" s="11" t="s">
        <v>66</v>
      </c>
      <c r="I17" s="11"/>
    </row>
    <row r="18" spans="1:9" ht="12.75">
      <c r="A18" s="15" t="s">
        <v>63</v>
      </c>
      <c r="B18" s="17">
        <f>focale_FO_min/diametre</f>
        <v>13.841463414634147</v>
      </c>
      <c r="C18" s="11" t="s">
        <v>68</v>
      </c>
      <c r="D18" s="17">
        <f>focale_F0/diametre</f>
        <v>20.76219512195122</v>
      </c>
      <c r="E18" s="11" t="s">
        <v>69</v>
      </c>
      <c r="G18" s="6" t="s">
        <v>93</v>
      </c>
      <c r="I18" s="11"/>
    </row>
    <row r="19" spans="1:9" ht="12.75">
      <c r="A19" s="15" t="s">
        <v>72</v>
      </c>
      <c r="B19" s="17">
        <f>B18*diametre/focale</f>
        <v>1.2457317073170733</v>
      </c>
      <c r="C19" s="11" t="s">
        <v>71</v>
      </c>
      <c r="D19" s="17">
        <f>D18*diametre/focale</f>
        <v>1.8685975609756096</v>
      </c>
      <c r="E19" s="11" t="s">
        <v>70</v>
      </c>
      <c r="G19" s="4" t="s">
        <v>94</v>
      </c>
      <c r="H19" s="18">
        <f>H14*2</f>
        <v>4010.5047298992768</v>
      </c>
      <c r="I19" s="11" t="s">
        <v>5</v>
      </c>
    </row>
    <row r="20" spans="3:9" ht="12.75">
      <c r="C20" s="11"/>
      <c r="D20" s="11"/>
      <c r="G20" s="4" t="s">
        <v>76</v>
      </c>
      <c r="H20" s="16">
        <f>H5/H19</f>
        <v>0.47350648556589364</v>
      </c>
      <c r="I20" s="11" t="s">
        <v>11</v>
      </c>
    </row>
    <row r="21" spans="1:9" ht="12.75">
      <c r="A21" s="19" t="s">
        <v>73</v>
      </c>
      <c r="C21" s="11"/>
      <c r="D21" s="11"/>
      <c r="G21" s="15" t="s">
        <v>95</v>
      </c>
      <c r="H21" s="14">
        <f>B11*H20</f>
        <v>909.1324522865158</v>
      </c>
      <c r="I21" s="11" t="s">
        <v>79</v>
      </c>
    </row>
    <row r="22" spans="1:9" ht="12.75">
      <c r="A22" s="25" t="s">
        <v>74</v>
      </c>
      <c r="B22" s="1">
        <v>1.8</v>
      </c>
      <c r="C22" s="11" t="s">
        <v>14</v>
      </c>
      <c r="D22" s="11"/>
      <c r="G22" s="15" t="s">
        <v>96</v>
      </c>
      <c r="H22" s="14">
        <f>D11*H20</f>
        <v>681.8493392148869</v>
      </c>
      <c r="I22" s="11" t="s">
        <v>79</v>
      </c>
    </row>
    <row r="23" spans="1:9" ht="12.75">
      <c r="A23" s="15" t="s">
        <v>75</v>
      </c>
      <c r="B23" s="8">
        <f>focale*B22</f>
        <v>1800</v>
      </c>
      <c r="C23" s="11" t="s">
        <v>10</v>
      </c>
      <c r="D23" s="11"/>
      <c r="G23" s="4" t="s">
        <v>75</v>
      </c>
      <c r="H23" s="14">
        <f>206*pixel/H20</f>
        <v>1975.1366211642967</v>
      </c>
      <c r="I23" s="11" t="s">
        <v>10</v>
      </c>
    </row>
    <row r="24" spans="1:9" ht="12.75">
      <c r="A24" s="25" t="s">
        <v>77</v>
      </c>
      <c r="B24" s="17">
        <f>206*pixel/B23</f>
        <v>0.5195777777777778</v>
      </c>
      <c r="C24" s="11" t="s">
        <v>11</v>
      </c>
      <c r="D24" s="11"/>
      <c r="G24" s="4" t="s">
        <v>97</v>
      </c>
      <c r="H24" s="17">
        <f>H23/diametre</f>
        <v>21.945962457381075</v>
      </c>
      <c r="I24" s="11"/>
    </row>
    <row r="25" spans="1:9" ht="12.75">
      <c r="A25" s="15" t="s">
        <v>37</v>
      </c>
      <c r="B25" s="17">
        <f>B23/diametre</f>
        <v>20</v>
      </c>
      <c r="C25" s="11"/>
      <c r="D25" s="11"/>
      <c r="G25" s="4" t="s">
        <v>98</v>
      </c>
      <c r="H25" s="17">
        <f>H24*diametre/focale</f>
        <v>1.9751366211642967</v>
      </c>
      <c r="I25" s="11" t="s">
        <v>14</v>
      </c>
    </row>
    <row r="26" spans="1:9" ht="12.75">
      <c r="A26" s="25" t="s">
        <v>78</v>
      </c>
      <c r="B26" s="14">
        <f>B24*H</f>
        <v>997.5893333333333</v>
      </c>
      <c r="C26" s="29" t="s">
        <v>14</v>
      </c>
      <c r="D26" s="14">
        <f>B24*V</f>
        <v>748.192</v>
      </c>
      <c r="E26" s="11" t="s">
        <v>79</v>
      </c>
      <c r="G26" s="4" t="s">
        <v>99</v>
      </c>
      <c r="H26" s="14">
        <f>1392000/H19</f>
        <v>347.08848231054446</v>
      </c>
      <c r="I26" s="11" t="s">
        <v>12</v>
      </c>
    </row>
    <row r="27" ht="12.75">
      <c r="I27" s="11"/>
    </row>
    <row r="28" spans="1:4" ht="12.75">
      <c r="A28" s="15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</sheetData>
  <sheetProtection/>
  <mergeCells count="1">
    <mergeCell ref="A1:D1"/>
  </mergeCells>
  <hyperlinks>
    <hyperlink ref="H1" r:id="rId1" display="http://astrosurf.com/colmic"/>
  </hyperlinks>
  <printOptions/>
  <pageMargins left="0.787401575" right="0.787401575" top="0.984251969" bottom="0.984251969" header="0.4921259845" footer="0.492125984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48.28125" style="0" bestFit="1" customWidth="1"/>
    <col min="4" max="4" width="16.8515625" style="0" bestFit="1" customWidth="1"/>
  </cols>
  <sheetData>
    <row r="1" spans="1:5" ht="12.75">
      <c r="A1" s="22" t="s">
        <v>42</v>
      </c>
      <c r="B1" s="22" t="s">
        <v>5</v>
      </c>
      <c r="C1" s="22" t="s">
        <v>6</v>
      </c>
      <c r="D1" s="22" t="s">
        <v>7</v>
      </c>
      <c r="E1" s="22">
        <v>13</v>
      </c>
    </row>
    <row r="2" spans="1:4" ht="12.75">
      <c r="A2" t="s">
        <v>15</v>
      </c>
      <c r="B2">
        <v>3.75</v>
      </c>
      <c r="C2">
        <v>1280</v>
      </c>
      <c r="D2">
        <v>960</v>
      </c>
    </row>
    <row r="3" spans="1:4" ht="12.75">
      <c r="A3" t="s">
        <v>16</v>
      </c>
      <c r="B3">
        <v>5.2</v>
      </c>
      <c r="C3">
        <v>1280</v>
      </c>
      <c r="D3">
        <v>1024</v>
      </c>
    </row>
    <row r="4" spans="1:4" ht="12.75">
      <c r="A4" s="27" t="s">
        <v>26</v>
      </c>
      <c r="B4">
        <v>5.5</v>
      </c>
      <c r="C4">
        <v>2048</v>
      </c>
      <c r="D4">
        <v>2048</v>
      </c>
    </row>
    <row r="5" spans="1:4" ht="12.75">
      <c r="A5" t="s">
        <v>25</v>
      </c>
      <c r="B5">
        <v>5.3</v>
      </c>
      <c r="C5">
        <v>1280</v>
      </c>
      <c r="D5">
        <v>1024</v>
      </c>
    </row>
    <row r="6" spans="1:4" ht="12.75">
      <c r="A6" t="s">
        <v>19</v>
      </c>
      <c r="B6">
        <v>5.6</v>
      </c>
      <c r="C6">
        <v>640</v>
      </c>
      <c r="D6">
        <v>480</v>
      </c>
    </row>
    <row r="7" spans="1:4" ht="12.75">
      <c r="A7" t="s">
        <v>21</v>
      </c>
      <c r="B7">
        <v>4.65</v>
      </c>
      <c r="C7">
        <v>1024</v>
      </c>
      <c r="D7">
        <v>768</v>
      </c>
    </row>
    <row r="8" spans="1:4" ht="12.75">
      <c r="A8" t="s">
        <v>22</v>
      </c>
      <c r="B8">
        <v>4.65</v>
      </c>
      <c r="C8">
        <v>1392</v>
      </c>
      <c r="D8">
        <v>1040</v>
      </c>
    </row>
    <row r="9" spans="1:4" ht="12.75">
      <c r="A9" s="27" t="s">
        <v>20</v>
      </c>
      <c r="B9">
        <v>4.4</v>
      </c>
      <c r="C9">
        <v>1600</v>
      </c>
      <c r="D9">
        <v>1200</v>
      </c>
    </row>
    <row r="10" spans="1:4" ht="12.75">
      <c r="A10" s="27" t="s">
        <v>29</v>
      </c>
      <c r="B10">
        <v>6.45</v>
      </c>
      <c r="C10">
        <v>1392</v>
      </c>
      <c r="D10">
        <v>1040</v>
      </c>
    </row>
    <row r="11" spans="1:4" ht="12.75">
      <c r="A11" s="27" t="s">
        <v>27</v>
      </c>
      <c r="B11">
        <v>7.4</v>
      </c>
      <c r="C11">
        <v>640</v>
      </c>
      <c r="D11">
        <v>480</v>
      </c>
    </row>
    <row r="12" spans="1:4" ht="12.75">
      <c r="A12" s="27" t="s">
        <v>30</v>
      </c>
      <c r="B12">
        <v>3.75</v>
      </c>
      <c r="C12">
        <v>1280</v>
      </c>
      <c r="D12">
        <v>960</v>
      </c>
    </row>
    <row r="13" spans="1:4" ht="12.75">
      <c r="A13" s="27" t="s">
        <v>28</v>
      </c>
      <c r="B13">
        <v>5.6</v>
      </c>
      <c r="C13">
        <v>640</v>
      </c>
      <c r="D13">
        <v>480</v>
      </c>
    </row>
    <row r="14" spans="1:4" ht="12.75">
      <c r="A14" t="s">
        <v>24</v>
      </c>
      <c r="B14">
        <v>4.54</v>
      </c>
      <c r="C14">
        <v>1920</v>
      </c>
      <c r="D14">
        <v>1440</v>
      </c>
    </row>
    <row r="15" spans="1:4" ht="12.75">
      <c r="A15" t="s">
        <v>23</v>
      </c>
      <c r="B15">
        <v>3.69</v>
      </c>
      <c r="C15">
        <v>1928</v>
      </c>
      <c r="D15">
        <v>1448</v>
      </c>
    </row>
    <row r="16" spans="1:4" ht="12.75">
      <c r="A16" t="s">
        <v>18</v>
      </c>
      <c r="B16">
        <v>4.54</v>
      </c>
      <c r="C16">
        <v>2736</v>
      </c>
      <c r="D16">
        <v>2192</v>
      </c>
    </row>
    <row r="17" spans="1:4" ht="12.75">
      <c r="A17" t="s">
        <v>31</v>
      </c>
      <c r="B17">
        <v>3.69</v>
      </c>
      <c r="C17">
        <v>3376</v>
      </c>
      <c r="D17">
        <v>2704</v>
      </c>
    </row>
    <row r="18" spans="1:4" ht="12.75">
      <c r="A18" t="s">
        <v>17</v>
      </c>
      <c r="B18">
        <v>3.63</v>
      </c>
      <c r="C18">
        <v>1328</v>
      </c>
      <c r="D18">
        <v>1048</v>
      </c>
    </row>
    <row r="25" spans="1:4" ht="12.75">
      <c r="A25" s="1" t="s">
        <v>41</v>
      </c>
      <c r="B25" s="1">
        <v>9</v>
      </c>
      <c r="C25" s="1">
        <v>2048</v>
      </c>
      <c r="D25" s="1">
        <v>2048</v>
      </c>
    </row>
    <row r="29" spans="1:3" ht="12.75">
      <c r="A29" s="22" t="s">
        <v>43</v>
      </c>
      <c r="B29" s="22" t="s">
        <v>0</v>
      </c>
      <c r="C29" s="22">
        <v>1</v>
      </c>
    </row>
    <row r="30" spans="1:2" ht="12.75">
      <c r="A30" t="s">
        <v>1</v>
      </c>
      <c r="B30">
        <v>0.656</v>
      </c>
    </row>
    <row r="31" spans="1:2" ht="12.75">
      <c r="A31" t="s">
        <v>2</v>
      </c>
      <c r="B31">
        <v>0.393</v>
      </c>
    </row>
    <row r="32" spans="1:2" ht="12.75">
      <c r="A32" t="s">
        <v>3</v>
      </c>
      <c r="B32">
        <v>0.54</v>
      </c>
    </row>
    <row r="33" spans="1:2" ht="12.75">
      <c r="A33" t="s">
        <v>46</v>
      </c>
      <c r="B33">
        <v>0.6</v>
      </c>
    </row>
    <row r="34" spans="1:2" ht="12.75">
      <c r="A34" t="s">
        <v>9</v>
      </c>
      <c r="B34">
        <v>0.355</v>
      </c>
    </row>
    <row r="35" spans="1:2" ht="12.75">
      <c r="A35" s="1" t="s">
        <v>44</v>
      </c>
      <c r="B35" s="1">
        <v>0.7</v>
      </c>
    </row>
    <row r="39" spans="1:4" ht="12.75">
      <c r="A39" s="22" t="s">
        <v>8</v>
      </c>
      <c r="B39" s="22" t="s">
        <v>45</v>
      </c>
      <c r="C39" s="22"/>
      <c r="D39" s="22">
        <v>5</v>
      </c>
    </row>
    <row r="40" spans="1:2" ht="12.75">
      <c r="A40" t="s">
        <v>47</v>
      </c>
      <c r="B40">
        <v>1951</v>
      </c>
    </row>
    <row r="41" spans="1:2" ht="12.75">
      <c r="A41" t="s">
        <v>48</v>
      </c>
      <c r="B41">
        <v>1943</v>
      </c>
    </row>
    <row r="42" spans="1:2" ht="12.75">
      <c r="A42" t="s">
        <v>49</v>
      </c>
      <c r="B42">
        <v>1930</v>
      </c>
    </row>
    <row r="43" spans="1:2" ht="12.75">
      <c r="A43" t="s">
        <v>50</v>
      </c>
      <c r="B43">
        <v>1913</v>
      </c>
    </row>
    <row r="44" spans="1:2" ht="12.75">
      <c r="A44" t="s">
        <v>51</v>
      </c>
      <c r="B44">
        <v>1899</v>
      </c>
    </row>
    <row r="45" spans="1:2" ht="12.75">
      <c r="A45" t="s">
        <v>52</v>
      </c>
      <c r="B45">
        <v>1889</v>
      </c>
    </row>
    <row r="46" spans="1:2" ht="12.75">
      <c r="A46" t="s">
        <v>53</v>
      </c>
      <c r="B46">
        <v>1888</v>
      </c>
    </row>
    <row r="47" spans="1:2" ht="12.75">
      <c r="A47" t="s">
        <v>54</v>
      </c>
      <c r="B47">
        <v>1895</v>
      </c>
    </row>
    <row r="48" spans="1:2" ht="12.75">
      <c r="A48" t="s">
        <v>55</v>
      </c>
      <c r="B48">
        <v>1908</v>
      </c>
    </row>
    <row r="49" spans="1:2" ht="12.75">
      <c r="A49" t="s">
        <v>56</v>
      </c>
      <c r="B49">
        <v>1925</v>
      </c>
    </row>
    <row r="50" spans="1:2" ht="12.75">
      <c r="A50" t="s">
        <v>57</v>
      </c>
      <c r="B50">
        <v>1940</v>
      </c>
    </row>
    <row r="51" spans="1:2" ht="12.75">
      <c r="A51" t="s">
        <v>58</v>
      </c>
      <c r="B51">
        <v>1950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p745314</dc:creator>
  <cp:keywords/>
  <dc:description/>
  <cp:lastModifiedBy>MICHEL COLLART - P745314</cp:lastModifiedBy>
  <cp:lastPrinted>2010-04-19T14:45:29Z</cp:lastPrinted>
  <dcterms:created xsi:type="dcterms:W3CDTF">2010-02-09T12:13:39Z</dcterms:created>
  <dcterms:modified xsi:type="dcterms:W3CDTF">2013-06-03T08:06:38Z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-12323380</vt:i4>
  </property>
  <property fmtid="{D5CDD505-2E9C-101B-9397-08002B2CF9AE}" pid="3" name="_NewReviewCycle">
    <vt:lpwstr/>
  </property>
  <property fmtid="{D5CDD505-2E9C-101B-9397-08002B2CF9AE}" pid="4" name="_EmailSubject">
    <vt:lpwstr>spreadsheet</vt:lpwstr>
  </property>
  <property fmtid="{D5CDD505-2E9C-101B-9397-08002B2CF9AE}" pid="5" name="_AuthorEmail">
    <vt:lpwstr>michel.collart@mpsa.com</vt:lpwstr>
  </property>
  <property fmtid="{D5CDD505-2E9C-101B-9397-08002B2CF9AE}" pid="6" name="_AuthorEmailDisplayName">
    <vt:lpwstr>MICHEL COLLART - P745314</vt:lpwstr>
  </property>
</Properties>
</file>